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Sheet1!$A$3:$K$54</definedName>
  </definedNames>
  <calcPr calcId="144525"/>
</workbook>
</file>

<file path=xl/sharedStrings.xml><?xml version="1.0" encoding="utf-8"?>
<sst xmlns="http://schemas.openxmlformats.org/spreadsheetml/2006/main" count="182" uniqueCount="101">
  <si>
    <t>附件</t>
  </si>
  <si>
    <t>玉屏侗族自治县国有投资公司2022年招聘考试总成绩及进入体检人员名单</t>
  </si>
  <si>
    <t>序号</t>
  </si>
  <si>
    <t>姓名</t>
  </si>
  <si>
    <t>性别</t>
  </si>
  <si>
    <t>准考证号</t>
  </si>
  <si>
    <t>岗位
代码</t>
  </si>
  <si>
    <t>笔试
成绩</t>
  </si>
  <si>
    <t>面试成绩</t>
  </si>
  <si>
    <t>招聘单位</t>
  </si>
  <si>
    <t>考场</t>
  </si>
  <si>
    <t>综合总成绩</t>
  </si>
  <si>
    <t>排名</t>
  </si>
  <si>
    <t>入围体检</t>
  </si>
  <si>
    <t>20220401</t>
  </si>
  <si>
    <t>61.2</t>
  </si>
  <si>
    <t>玉屏永昇国有资产投资管理有限公司投融资部</t>
  </si>
  <si>
    <t>是</t>
  </si>
  <si>
    <t>20220410</t>
  </si>
  <si>
    <t>68.15</t>
  </si>
  <si>
    <t>李远琴</t>
  </si>
  <si>
    <t>20220205</t>
  </si>
  <si>
    <t>78.7</t>
  </si>
  <si>
    <t>玉屏永昇国有资产投资管理有限公司工程部</t>
  </si>
  <si>
    <t>20220212</t>
  </si>
  <si>
    <t>65.3</t>
  </si>
  <si>
    <t>20220301</t>
  </si>
  <si>
    <t>70.2</t>
  </si>
  <si>
    <t>20220210</t>
  </si>
  <si>
    <t>70.1</t>
  </si>
  <si>
    <t>20220226</t>
  </si>
  <si>
    <t>68.2</t>
  </si>
  <si>
    <t>20220216</t>
  </si>
  <si>
    <t>73.65</t>
  </si>
  <si>
    <t>20220228</t>
  </si>
  <si>
    <t>73.2</t>
  </si>
  <si>
    <t>20220202</t>
  </si>
  <si>
    <t>67.75</t>
  </si>
  <si>
    <t>20220221</t>
  </si>
  <si>
    <t>68.6</t>
  </si>
  <si>
    <t>缺考</t>
  </si>
  <si>
    <t>20220208</t>
  </si>
  <si>
    <t>65.15</t>
  </si>
  <si>
    <t>20220327</t>
  </si>
  <si>
    <t>70.0</t>
  </si>
  <si>
    <t>玉屏永昇国有资产投资管理有限公司财务计划部</t>
  </si>
  <si>
    <t>20220322</t>
  </si>
  <si>
    <t>67.65</t>
  </si>
  <si>
    <t>03</t>
  </si>
  <si>
    <t>玉屏侗族自治县文旅农投资有限责任公司工程部</t>
  </si>
  <si>
    <t>69.1</t>
  </si>
  <si>
    <t>62.35</t>
  </si>
  <si>
    <t>55.3</t>
  </si>
  <si>
    <t>63.55</t>
  </si>
  <si>
    <t>04</t>
  </si>
  <si>
    <t>54.9</t>
  </si>
  <si>
    <t>玉屏侗族自治县文旅农投资有限责任公司茶花泉</t>
  </si>
  <si>
    <t>69.4</t>
  </si>
  <si>
    <t>02</t>
  </si>
  <si>
    <t>68.7</t>
  </si>
  <si>
    <t>玉屏侗族自治县文旅农投资有限责任公司财务计划部</t>
  </si>
  <si>
    <t>68.8</t>
  </si>
  <si>
    <t>63.6</t>
  </si>
  <si>
    <t>48.35</t>
  </si>
  <si>
    <t>47.95</t>
  </si>
  <si>
    <t>47.5</t>
  </si>
  <si>
    <t>47.6</t>
  </si>
  <si>
    <t>48.9</t>
  </si>
  <si>
    <t>49.55</t>
  </si>
  <si>
    <t>45.65</t>
  </si>
  <si>
    <t>63.65</t>
  </si>
  <si>
    <t>玉屏侗族自治县扶贫开发投资有限责任公司</t>
  </si>
  <si>
    <t>69.45</t>
  </si>
  <si>
    <t>69.2</t>
  </si>
  <si>
    <t>61.15</t>
  </si>
  <si>
    <t>01</t>
  </si>
  <si>
    <t>78.2</t>
  </si>
  <si>
    <t>玉屏侗族自治县城乡开发投资有限责任公司</t>
  </si>
  <si>
    <t>76.15</t>
  </si>
  <si>
    <t>63.95</t>
  </si>
  <si>
    <t>49.4</t>
  </si>
  <si>
    <t>55.65</t>
  </si>
  <si>
    <t>45.75</t>
  </si>
  <si>
    <t>47.0</t>
  </si>
  <si>
    <t>34.55</t>
  </si>
  <si>
    <t>20220115</t>
  </si>
  <si>
    <t>69.95</t>
  </si>
  <si>
    <t>贵州省经纬矿业有限公司综合部</t>
  </si>
  <si>
    <t>20220124</t>
  </si>
  <si>
    <t>69.9</t>
  </si>
  <si>
    <t>20220117</t>
  </si>
  <si>
    <t>71.5</t>
  </si>
  <si>
    <t>20220116</t>
  </si>
  <si>
    <t>71.35</t>
  </si>
  <si>
    <t>20220114</t>
  </si>
  <si>
    <t>74.35</t>
  </si>
  <si>
    <t>20220306</t>
  </si>
  <si>
    <t>62.8</t>
  </si>
  <si>
    <t>贵州省经纬矿业有限公司工程部</t>
  </si>
  <si>
    <t>20220305</t>
  </si>
  <si>
    <t>65.7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</si>
</sst>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4"/>
  <sheetViews>
    <sheetView tabSelected="1" topLeftCell="A19" workbookViewId="0">
      <selection activeCell="H57" sqref="H57"/>
    </sheetView>
  </sheetViews>
  <sheetFormatPr defaultColWidth="8.88888888888889" defaultRowHeight="14.4"/>
  <cols>
    <col min="1" max="1" width="5.77777777777778" customWidth="1"/>
    <col min="2" max="2" width="10" customWidth="1"/>
    <col min="3" max="3" width="8.88888888888889" customWidth="1"/>
    <col min="4" max="4" width="12.5555555555556" customWidth="1"/>
    <col min="5" max="5" width="10.2222222222222" customWidth="1"/>
    <col min="6" max="7" width="10.8888888888889" customWidth="1"/>
    <col min="8" max="8" width="45.2222222222222" customWidth="1"/>
    <col min="9" max="9" width="10.3333333333333" customWidth="1"/>
    <col min="10" max="10" width="12" customWidth="1"/>
    <col min="11" max="11" width="8.88888888888889" style="1"/>
    <col min="12" max="12" width="11.6666666666667" style="1" customWidth="1"/>
  </cols>
  <sheetData>
    <row r="1" ht="17.4" spans="1:1">
      <c r="A1" s="2" t="s">
        <v>0</v>
      </c>
    </row>
    <row r="2" ht="4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2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</row>
    <row r="4" ht="20" customHeight="1" spans="1:12">
      <c r="A4" s="6">
        <v>1</v>
      </c>
      <c r="B4" s="6" t="str">
        <f>"胥娱燚"</f>
        <v>胥娱燚</v>
      </c>
      <c r="C4" s="6" t="str">
        <f>"女"</f>
        <v>女</v>
      </c>
      <c r="D4" s="6" t="s">
        <v>14</v>
      </c>
      <c r="E4" s="6" t="str">
        <f>"04"</f>
        <v>04</v>
      </c>
      <c r="F4" s="6" t="s">
        <v>15</v>
      </c>
      <c r="G4" s="7">
        <v>86.6</v>
      </c>
      <c r="H4" s="7" t="s">
        <v>16</v>
      </c>
      <c r="I4" s="7">
        <v>1</v>
      </c>
      <c r="J4" s="8">
        <f t="shared" ref="J4:J13" si="0">F4*0.3+G4*0.7</f>
        <v>78.98</v>
      </c>
      <c r="K4" s="9">
        <v>1</v>
      </c>
      <c r="L4" s="9" t="s">
        <v>17</v>
      </c>
    </row>
    <row r="5" ht="20" customHeight="1" spans="1:12">
      <c r="A5" s="6">
        <v>2</v>
      </c>
      <c r="B5" s="6" t="str">
        <f>"曾红英"</f>
        <v>曾红英</v>
      </c>
      <c r="C5" s="6" t="str">
        <f>"女"</f>
        <v>女</v>
      </c>
      <c r="D5" s="6" t="s">
        <v>18</v>
      </c>
      <c r="E5" s="6" t="str">
        <f>"04"</f>
        <v>04</v>
      </c>
      <c r="F5" s="6" t="s">
        <v>19</v>
      </c>
      <c r="G5" s="7">
        <v>67.2</v>
      </c>
      <c r="H5" s="7" t="s">
        <v>16</v>
      </c>
      <c r="I5" s="7">
        <v>1</v>
      </c>
      <c r="J5" s="8">
        <f t="shared" si="0"/>
        <v>67.485</v>
      </c>
      <c r="K5" s="9">
        <v>2</v>
      </c>
      <c r="L5" s="9"/>
    </row>
    <row r="6" ht="20" customHeight="1" spans="1:12">
      <c r="A6" s="6">
        <v>3</v>
      </c>
      <c r="B6" s="6" t="s">
        <v>20</v>
      </c>
      <c r="C6" s="6" t="str">
        <f>"女"</f>
        <v>女</v>
      </c>
      <c r="D6" s="6" t="s">
        <v>21</v>
      </c>
      <c r="E6" s="6" t="str">
        <f t="shared" ref="E6:E15" si="1">"03"</f>
        <v>03</v>
      </c>
      <c r="F6" s="6" t="s">
        <v>22</v>
      </c>
      <c r="G6" s="7">
        <v>79</v>
      </c>
      <c r="H6" s="7" t="s">
        <v>23</v>
      </c>
      <c r="I6" s="7">
        <v>1</v>
      </c>
      <c r="J6" s="8">
        <f t="shared" si="0"/>
        <v>78.91</v>
      </c>
      <c r="K6" s="9">
        <v>1</v>
      </c>
      <c r="L6" s="9" t="s">
        <v>17</v>
      </c>
    </row>
    <row r="7" ht="20" customHeight="1" spans="1:12">
      <c r="A7" s="6">
        <v>4</v>
      </c>
      <c r="B7" s="6" t="str">
        <f>"徐丽"</f>
        <v>徐丽</v>
      </c>
      <c r="C7" s="6" t="str">
        <f>"女"</f>
        <v>女</v>
      </c>
      <c r="D7" s="6" t="s">
        <v>24</v>
      </c>
      <c r="E7" s="6" t="str">
        <f t="shared" si="1"/>
        <v>03</v>
      </c>
      <c r="F7" s="6" t="s">
        <v>25</v>
      </c>
      <c r="G7" s="7">
        <v>80.2</v>
      </c>
      <c r="H7" s="7" t="s">
        <v>23</v>
      </c>
      <c r="I7" s="7">
        <v>1</v>
      </c>
      <c r="J7" s="8">
        <f t="shared" si="0"/>
        <v>75.73</v>
      </c>
      <c r="K7" s="9">
        <v>2</v>
      </c>
      <c r="L7" s="9" t="s">
        <v>17</v>
      </c>
    </row>
    <row r="8" ht="20" customHeight="1" spans="1:12">
      <c r="A8" s="6">
        <v>5</v>
      </c>
      <c r="B8" s="6" t="str">
        <f>"廖磊"</f>
        <v>廖磊</v>
      </c>
      <c r="C8" s="6" t="str">
        <f t="shared" ref="C8:C15" si="2">"男"</f>
        <v>男</v>
      </c>
      <c r="D8" s="6" t="s">
        <v>26</v>
      </c>
      <c r="E8" s="6" t="str">
        <f t="shared" si="1"/>
        <v>03</v>
      </c>
      <c r="F8" s="6" t="s">
        <v>27</v>
      </c>
      <c r="G8" s="7">
        <v>70.6</v>
      </c>
      <c r="H8" s="7" t="s">
        <v>23</v>
      </c>
      <c r="I8" s="7">
        <v>1</v>
      </c>
      <c r="J8" s="8">
        <f t="shared" si="0"/>
        <v>70.48</v>
      </c>
      <c r="K8" s="9">
        <v>3</v>
      </c>
      <c r="L8" s="9"/>
    </row>
    <row r="9" ht="20" customHeight="1" spans="1:12">
      <c r="A9" s="6">
        <v>6</v>
      </c>
      <c r="B9" s="6" t="str">
        <f>"甘立杰"</f>
        <v>甘立杰</v>
      </c>
      <c r="C9" s="6" t="str">
        <f t="shared" si="2"/>
        <v>男</v>
      </c>
      <c r="D9" s="6" t="s">
        <v>28</v>
      </c>
      <c r="E9" s="6" t="str">
        <f t="shared" si="1"/>
        <v>03</v>
      </c>
      <c r="F9" s="6" t="s">
        <v>29</v>
      </c>
      <c r="G9" s="7">
        <v>70.2</v>
      </c>
      <c r="H9" s="7" t="s">
        <v>23</v>
      </c>
      <c r="I9" s="7">
        <v>1</v>
      </c>
      <c r="J9" s="8">
        <f t="shared" si="0"/>
        <v>70.17</v>
      </c>
      <c r="K9" s="9">
        <v>4</v>
      </c>
      <c r="L9" s="9"/>
    </row>
    <row r="10" ht="20" customHeight="1" spans="1:12">
      <c r="A10" s="6">
        <v>7</v>
      </c>
      <c r="B10" s="6" t="str">
        <f>"姚攀"</f>
        <v>姚攀</v>
      </c>
      <c r="C10" s="6" t="str">
        <f t="shared" si="2"/>
        <v>男</v>
      </c>
      <c r="D10" s="6" t="s">
        <v>30</v>
      </c>
      <c r="E10" s="6" t="str">
        <f t="shared" si="1"/>
        <v>03</v>
      </c>
      <c r="F10" s="6" t="s">
        <v>31</v>
      </c>
      <c r="G10" s="7">
        <v>70.4</v>
      </c>
      <c r="H10" s="7" t="s">
        <v>23</v>
      </c>
      <c r="I10" s="7">
        <v>1</v>
      </c>
      <c r="J10" s="8">
        <f t="shared" si="0"/>
        <v>69.74</v>
      </c>
      <c r="K10" s="9">
        <v>5</v>
      </c>
      <c r="L10" s="9"/>
    </row>
    <row r="11" ht="20" customHeight="1" spans="1:12">
      <c r="A11" s="6">
        <v>8</v>
      </c>
      <c r="B11" s="6" t="str">
        <f>"姚佳"</f>
        <v>姚佳</v>
      </c>
      <c r="C11" s="6" t="str">
        <f t="shared" si="2"/>
        <v>男</v>
      </c>
      <c r="D11" s="6" t="s">
        <v>32</v>
      </c>
      <c r="E11" s="6" t="str">
        <f t="shared" si="1"/>
        <v>03</v>
      </c>
      <c r="F11" s="6" t="s">
        <v>33</v>
      </c>
      <c r="G11" s="7">
        <v>67.6</v>
      </c>
      <c r="H11" s="7" t="s">
        <v>23</v>
      </c>
      <c r="I11" s="7">
        <v>1</v>
      </c>
      <c r="J11" s="8">
        <f t="shared" si="0"/>
        <v>69.415</v>
      </c>
      <c r="K11" s="9">
        <v>6</v>
      </c>
      <c r="L11" s="9"/>
    </row>
    <row r="12" ht="20" customHeight="1" spans="1:12">
      <c r="A12" s="6">
        <v>9</v>
      </c>
      <c r="B12" s="6" t="str">
        <f>"罗大圣"</f>
        <v>罗大圣</v>
      </c>
      <c r="C12" s="6" t="str">
        <f t="shared" si="2"/>
        <v>男</v>
      </c>
      <c r="D12" s="6" t="s">
        <v>34</v>
      </c>
      <c r="E12" s="6" t="str">
        <f t="shared" si="1"/>
        <v>03</v>
      </c>
      <c r="F12" s="6" t="s">
        <v>35</v>
      </c>
      <c r="G12" s="7">
        <v>65</v>
      </c>
      <c r="H12" s="7" t="s">
        <v>23</v>
      </c>
      <c r="I12" s="7">
        <v>1</v>
      </c>
      <c r="J12" s="8">
        <f t="shared" si="0"/>
        <v>67.46</v>
      </c>
      <c r="K12" s="9">
        <v>7</v>
      </c>
      <c r="L12" s="9"/>
    </row>
    <row r="13" ht="20" customHeight="1" spans="1:12">
      <c r="A13" s="6">
        <v>10</v>
      </c>
      <c r="B13" s="6" t="str">
        <f>"罗雨维"</f>
        <v>罗雨维</v>
      </c>
      <c r="C13" s="6" t="str">
        <f t="shared" si="2"/>
        <v>男</v>
      </c>
      <c r="D13" s="6" t="s">
        <v>36</v>
      </c>
      <c r="E13" s="6" t="str">
        <f t="shared" si="1"/>
        <v>03</v>
      </c>
      <c r="F13" s="6" t="s">
        <v>37</v>
      </c>
      <c r="G13" s="7">
        <v>47.6</v>
      </c>
      <c r="H13" s="7" t="s">
        <v>23</v>
      </c>
      <c r="I13" s="7">
        <v>1</v>
      </c>
      <c r="J13" s="8">
        <f t="shared" si="0"/>
        <v>53.645</v>
      </c>
      <c r="K13" s="9">
        <v>8</v>
      </c>
      <c r="L13" s="9"/>
    </row>
    <row r="14" ht="20" customHeight="1" spans="1:12">
      <c r="A14" s="6">
        <v>11</v>
      </c>
      <c r="B14" s="6" t="str">
        <f>"黄杰涛"</f>
        <v>黄杰涛</v>
      </c>
      <c r="C14" s="6" t="str">
        <f t="shared" si="2"/>
        <v>男</v>
      </c>
      <c r="D14" s="6" t="s">
        <v>38</v>
      </c>
      <c r="E14" s="6" t="str">
        <f t="shared" si="1"/>
        <v>03</v>
      </c>
      <c r="F14" s="6" t="s">
        <v>39</v>
      </c>
      <c r="G14" s="7" t="s">
        <v>40</v>
      </c>
      <c r="H14" s="7" t="s">
        <v>23</v>
      </c>
      <c r="I14" s="7">
        <v>1</v>
      </c>
      <c r="J14" s="8"/>
      <c r="K14" s="9">
        <v>9</v>
      </c>
      <c r="L14" s="9"/>
    </row>
    <row r="15" ht="20" customHeight="1" spans="1:12">
      <c r="A15" s="6">
        <v>12</v>
      </c>
      <c r="B15" s="6" t="str">
        <f>"王顺"</f>
        <v>王顺</v>
      </c>
      <c r="C15" s="6" t="str">
        <f t="shared" si="2"/>
        <v>男</v>
      </c>
      <c r="D15" s="6" t="s">
        <v>41</v>
      </c>
      <c r="E15" s="6" t="str">
        <f t="shared" si="1"/>
        <v>03</v>
      </c>
      <c r="F15" s="6" t="s">
        <v>42</v>
      </c>
      <c r="G15" s="7" t="s">
        <v>40</v>
      </c>
      <c r="H15" s="7" t="s">
        <v>23</v>
      </c>
      <c r="I15" s="7">
        <v>1</v>
      </c>
      <c r="J15" s="8"/>
      <c r="K15" s="9">
        <v>10</v>
      </c>
      <c r="L15" s="9"/>
    </row>
    <row r="16" ht="20" customHeight="1" spans="1:12">
      <c r="A16" s="6">
        <v>13</v>
      </c>
      <c r="B16" s="6" t="str">
        <f>"邹萍"</f>
        <v>邹萍</v>
      </c>
      <c r="C16" s="6" t="str">
        <f>"女"</f>
        <v>女</v>
      </c>
      <c r="D16" s="6" t="s">
        <v>43</v>
      </c>
      <c r="E16" s="6" t="str">
        <f>"02"</f>
        <v>02</v>
      </c>
      <c r="F16" s="6" t="s">
        <v>44</v>
      </c>
      <c r="G16" s="7">
        <v>74.8</v>
      </c>
      <c r="H16" s="7" t="s">
        <v>45</v>
      </c>
      <c r="I16" s="7">
        <v>2</v>
      </c>
      <c r="J16" s="8">
        <f>F16*0.3+G16*0.7</f>
        <v>73.36</v>
      </c>
      <c r="K16" s="9">
        <v>1</v>
      </c>
      <c r="L16" s="9" t="s">
        <v>17</v>
      </c>
    </row>
    <row r="17" ht="20" customHeight="1" spans="1:12">
      <c r="A17" s="6">
        <v>14</v>
      </c>
      <c r="B17" s="6" t="str">
        <f>"谭应琴"</f>
        <v>谭应琴</v>
      </c>
      <c r="C17" s="6" t="str">
        <f>"女"</f>
        <v>女</v>
      </c>
      <c r="D17" s="6" t="s">
        <v>46</v>
      </c>
      <c r="E17" s="6" t="str">
        <f>"02"</f>
        <v>02</v>
      </c>
      <c r="F17" s="6" t="s">
        <v>47</v>
      </c>
      <c r="G17" s="7">
        <v>75.6</v>
      </c>
      <c r="H17" s="7" t="s">
        <v>45</v>
      </c>
      <c r="I17" s="7">
        <v>2</v>
      </c>
      <c r="J17" s="8">
        <f>F17*0.3+G17*0.7</f>
        <v>73.215</v>
      </c>
      <c r="K17" s="9">
        <v>2</v>
      </c>
      <c r="L17" s="9"/>
    </row>
    <row r="18" ht="20" customHeight="1" spans="1:12">
      <c r="A18" s="6">
        <v>15</v>
      </c>
      <c r="B18" s="6" t="str">
        <f>"姚松平"</f>
        <v>姚松平</v>
      </c>
      <c r="C18" s="6" t="str">
        <f>"男"</f>
        <v>男</v>
      </c>
      <c r="D18" s="6" t="str">
        <f>"20220422"</f>
        <v>20220422</v>
      </c>
      <c r="E18" s="6" t="s">
        <v>48</v>
      </c>
      <c r="F18" s="6" t="s">
        <v>19</v>
      </c>
      <c r="G18" s="7">
        <v>82.2</v>
      </c>
      <c r="H18" s="7" t="s">
        <v>49</v>
      </c>
      <c r="I18" s="7">
        <v>1</v>
      </c>
      <c r="J18" s="8">
        <f>F18*0.4+G18*0.6</f>
        <v>76.58</v>
      </c>
      <c r="K18" s="9">
        <v>1</v>
      </c>
      <c r="L18" s="9" t="s">
        <v>17</v>
      </c>
    </row>
    <row r="19" ht="20" customHeight="1" spans="1:12">
      <c r="A19" s="6">
        <v>16</v>
      </c>
      <c r="B19" s="6" t="str">
        <f>"罗锐"</f>
        <v>罗锐</v>
      </c>
      <c r="C19" s="6" t="str">
        <f>"男"</f>
        <v>男</v>
      </c>
      <c r="D19" s="6" t="str">
        <f>"20220421"</f>
        <v>20220421</v>
      </c>
      <c r="E19" s="6" t="s">
        <v>48</v>
      </c>
      <c r="F19" s="6" t="s">
        <v>50</v>
      </c>
      <c r="G19" s="7">
        <v>73</v>
      </c>
      <c r="H19" s="7" t="s">
        <v>49</v>
      </c>
      <c r="I19" s="7">
        <v>1</v>
      </c>
      <c r="J19" s="8">
        <f>F19*0.4+G19*0.6</f>
        <v>71.44</v>
      </c>
      <c r="K19" s="9">
        <v>2</v>
      </c>
      <c r="L19" s="9"/>
    </row>
    <row r="20" ht="20" customHeight="1" spans="1:12">
      <c r="A20" s="6">
        <v>17</v>
      </c>
      <c r="B20" s="6" t="str">
        <f>"张如江"</f>
        <v>张如江</v>
      </c>
      <c r="C20" s="6" t="str">
        <f>"男"</f>
        <v>男</v>
      </c>
      <c r="D20" s="6" t="str">
        <f>"20220417"</f>
        <v>20220417</v>
      </c>
      <c r="E20" s="6" t="s">
        <v>48</v>
      </c>
      <c r="F20" s="6" t="s">
        <v>51</v>
      </c>
      <c r="G20" s="7">
        <v>70.2</v>
      </c>
      <c r="H20" s="7" t="s">
        <v>49</v>
      </c>
      <c r="I20" s="7">
        <v>1</v>
      </c>
      <c r="J20" s="8">
        <f>F20*0.4+G20*0.6</f>
        <v>67.06</v>
      </c>
      <c r="K20" s="9">
        <v>3</v>
      </c>
      <c r="L20" s="9"/>
    </row>
    <row r="21" ht="20" customHeight="1" spans="1:12">
      <c r="A21" s="6">
        <v>18</v>
      </c>
      <c r="B21" s="6" t="str">
        <f>"姚敦兵"</f>
        <v>姚敦兵</v>
      </c>
      <c r="C21" s="6" t="str">
        <f>"男"</f>
        <v>男</v>
      </c>
      <c r="D21" s="6" t="str">
        <f>"20220415"</f>
        <v>20220415</v>
      </c>
      <c r="E21" s="6" t="s">
        <v>48</v>
      </c>
      <c r="F21" s="6" t="s">
        <v>52</v>
      </c>
      <c r="G21" s="7">
        <v>71</v>
      </c>
      <c r="H21" s="7" t="s">
        <v>49</v>
      </c>
      <c r="I21" s="7">
        <v>1</v>
      </c>
      <c r="J21" s="8">
        <f>F21*0.4+G21*0.6</f>
        <v>64.72</v>
      </c>
      <c r="K21" s="9">
        <v>4</v>
      </c>
      <c r="L21" s="9"/>
    </row>
    <row r="22" ht="20" customHeight="1" spans="1:12">
      <c r="A22" s="6">
        <v>19</v>
      </c>
      <c r="B22" s="6" t="str">
        <f>"田庆怀"</f>
        <v>田庆怀</v>
      </c>
      <c r="C22" s="6" t="str">
        <f>"男"</f>
        <v>男</v>
      </c>
      <c r="D22" s="6" t="str">
        <f>"20220419"</f>
        <v>20220419</v>
      </c>
      <c r="E22" s="6" t="s">
        <v>48</v>
      </c>
      <c r="F22" s="6" t="s">
        <v>53</v>
      </c>
      <c r="G22" s="7" t="s">
        <v>40</v>
      </c>
      <c r="H22" s="7" t="s">
        <v>49</v>
      </c>
      <c r="I22" s="7">
        <v>1</v>
      </c>
      <c r="J22" s="8"/>
      <c r="K22" s="9">
        <v>5</v>
      </c>
      <c r="L22" s="9"/>
    </row>
    <row r="23" ht="20" customHeight="1" spans="1:12">
      <c r="A23" s="6">
        <v>20</v>
      </c>
      <c r="B23" s="6" t="str">
        <f>"向万蓉"</f>
        <v>向万蓉</v>
      </c>
      <c r="C23" s="6" t="str">
        <f>"女"</f>
        <v>女</v>
      </c>
      <c r="D23" s="6" t="str">
        <f>"20220416"</f>
        <v>20220416</v>
      </c>
      <c r="E23" s="6" t="s">
        <v>54</v>
      </c>
      <c r="F23" s="6" t="s">
        <v>55</v>
      </c>
      <c r="G23" s="7">
        <v>87.8</v>
      </c>
      <c r="H23" s="7" t="s">
        <v>56</v>
      </c>
      <c r="I23" s="7">
        <v>1</v>
      </c>
      <c r="J23" s="8">
        <f>F23*0.3+G23*0.7</f>
        <v>77.93</v>
      </c>
      <c r="K23" s="9">
        <v>1</v>
      </c>
      <c r="L23" s="9" t="s">
        <v>17</v>
      </c>
    </row>
    <row r="24" ht="20" customHeight="1" spans="1:12">
      <c r="A24" s="6">
        <v>21</v>
      </c>
      <c r="B24" s="6" t="str">
        <f>"肖尧文"</f>
        <v>肖尧文</v>
      </c>
      <c r="C24" s="6" t="str">
        <f>"男"</f>
        <v>男</v>
      </c>
      <c r="D24" s="6" t="str">
        <f>"20220420"</f>
        <v>20220420</v>
      </c>
      <c r="E24" s="6" t="s">
        <v>54</v>
      </c>
      <c r="F24" s="6" t="s">
        <v>57</v>
      </c>
      <c r="G24" s="7">
        <v>69.6</v>
      </c>
      <c r="H24" s="7" t="s">
        <v>56</v>
      </c>
      <c r="I24" s="7">
        <v>1</v>
      </c>
      <c r="J24" s="8">
        <f>F24*0.3+G24*0.7</f>
        <v>69.54</v>
      </c>
      <c r="K24" s="9">
        <v>2</v>
      </c>
      <c r="L24" s="9"/>
    </row>
    <row r="25" ht="20" customHeight="1" spans="1:12">
      <c r="A25" s="6">
        <v>22</v>
      </c>
      <c r="B25" s="6" t="str">
        <f>"余蓉"</f>
        <v>余蓉</v>
      </c>
      <c r="C25" s="6" t="str">
        <f>"女"</f>
        <v>女</v>
      </c>
      <c r="D25" s="6" t="str">
        <f>"20220517"</f>
        <v>20220517</v>
      </c>
      <c r="E25" s="6" t="s">
        <v>58</v>
      </c>
      <c r="F25" s="6" t="s">
        <v>59</v>
      </c>
      <c r="G25" s="7">
        <v>76.4</v>
      </c>
      <c r="H25" s="7" t="s">
        <v>60</v>
      </c>
      <c r="I25" s="7">
        <v>2</v>
      </c>
      <c r="J25" s="8">
        <f>F25*0.4+G25*0.6</f>
        <v>73.32</v>
      </c>
      <c r="K25" s="9">
        <v>1</v>
      </c>
      <c r="L25" s="9" t="s">
        <v>17</v>
      </c>
    </row>
    <row r="26" ht="20" customHeight="1" spans="1:12">
      <c r="A26" s="6">
        <v>23</v>
      </c>
      <c r="B26" s="6" t="str">
        <f>"杨世明"</f>
        <v>杨世明</v>
      </c>
      <c r="C26" s="6" t="str">
        <f>"男"</f>
        <v>男</v>
      </c>
      <c r="D26" s="6" t="str">
        <f>"20220504"</f>
        <v>20220504</v>
      </c>
      <c r="E26" s="6" t="s">
        <v>58</v>
      </c>
      <c r="F26" s="6" t="s">
        <v>61</v>
      </c>
      <c r="G26" s="7">
        <v>75.4</v>
      </c>
      <c r="H26" s="7" t="s">
        <v>60</v>
      </c>
      <c r="I26" s="7">
        <v>2</v>
      </c>
      <c r="J26" s="8">
        <f t="shared" ref="J26:J34" si="3">F26*0.4+G26*0.6</f>
        <v>72.76</v>
      </c>
      <c r="K26" s="9">
        <v>2</v>
      </c>
      <c r="L26" s="9" t="s">
        <v>17</v>
      </c>
    </row>
    <row r="27" ht="20" customHeight="1" spans="1:12">
      <c r="A27" s="6">
        <v>24</v>
      </c>
      <c r="B27" s="6" t="str">
        <f>"杨平平"</f>
        <v>杨平平</v>
      </c>
      <c r="C27" s="6" t="str">
        <f>"女"</f>
        <v>女</v>
      </c>
      <c r="D27" s="6" t="str">
        <f>"20220515"</f>
        <v>20220515</v>
      </c>
      <c r="E27" s="6" t="s">
        <v>58</v>
      </c>
      <c r="F27" s="6" t="s">
        <v>62</v>
      </c>
      <c r="G27" s="7">
        <v>73.8</v>
      </c>
      <c r="H27" s="7" t="s">
        <v>60</v>
      </c>
      <c r="I27" s="7">
        <v>2</v>
      </c>
      <c r="J27" s="8">
        <f t="shared" si="3"/>
        <v>69.72</v>
      </c>
      <c r="K27" s="9">
        <v>3</v>
      </c>
      <c r="L27" s="9"/>
    </row>
    <row r="28" ht="20" customHeight="1" spans="1:12">
      <c r="A28" s="6">
        <v>25</v>
      </c>
      <c r="B28" s="6" t="str">
        <f>"姚红俊"</f>
        <v>姚红俊</v>
      </c>
      <c r="C28" s="6" t="str">
        <f>"女"</f>
        <v>女</v>
      </c>
      <c r="D28" s="6" t="str">
        <f>"20220519"</f>
        <v>20220519</v>
      </c>
      <c r="E28" s="6" t="s">
        <v>58</v>
      </c>
      <c r="F28" s="6" t="s">
        <v>63</v>
      </c>
      <c r="G28" s="7">
        <v>79.6</v>
      </c>
      <c r="H28" s="7" t="s">
        <v>60</v>
      </c>
      <c r="I28" s="7">
        <v>2</v>
      </c>
      <c r="J28" s="8">
        <f t="shared" si="3"/>
        <v>67.1</v>
      </c>
      <c r="K28" s="9">
        <v>4</v>
      </c>
      <c r="L28" s="9"/>
    </row>
    <row r="29" ht="20" customHeight="1" spans="1:12">
      <c r="A29" s="6">
        <v>26</v>
      </c>
      <c r="B29" s="6" t="str">
        <f>"李田旭"</f>
        <v>李田旭</v>
      </c>
      <c r="C29" s="6" t="str">
        <f>"男"</f>
        <v>男</v>
      </c>
      <c r="D29" s="6" t="str">
        <f>"20220506"</f>
        <v>20220506</v>
      </c>
      <c r="E29" s="6" t="s">
        <v>58</v>
      </c>
      <c r="F29" s="6" t="s">
        <v>64</v>
      </c>
      <c r="G29" s="7">
        <v>79.6</v>
      </c>
      <c r="H29" s="7" t="s">
        <v>60</v>
      </c>
      <c r="I29" s="7">
        <v>2</v>
      </c>
      <c r="J29" s="8">
        <f t="shared" si="3"/>
        <v>66.94</v>
      </c>
      <c r="K29" s="9">
        <v>5</v>
      </c>
      <c r="L29" s="9"/>
    </row>
    <row r="30" ht="20" customHeight="1" spans="1:12">
      <c r="A30" s="6">
        <v>27</v>
      </c>
      <c r="B30" s="6" t="str">
        <f>"孙露露"</f>
        <v>孙露露</v>
      </c>
      <c r="C30" s="6" t="str">
        <f>"女"</f>
        <v>女</v>
      </c>
      <c r="D30" s="6" t="str">
        <f>"20220516"</f>
        <v>20220516</v>
      </c>
      <c r="E30" s="6" t="s">
        <v>58</v>
      </c>
      <c r="F30" s="6" t="s">
        <v>65</v>
      </c>
      <c r="G30" s="6">
        <v>79.6</v>
      </c>
      <c r="H30" s="6" t="s">
        <v>60</v>
      </c>
      <c r="I30" s="6">
        <v>2</v>
      </c>
      <c r="J30" s="8">
        <f t="shared" si="3"/>
        <v>66.76</v>
      </c>
      <c r="K30" s="9">
        <v>6</v>
      </c>
      <c r="L30" s="9"/>
    </row>
    <row r="31" ht="20" customHeight="1" spans="1:12">
      <c r="A31" s="6">
        <v>28</v>
      </c>
      <c r="B31" s="6" t="str">
        <f>"杨利娜"</f>
        <v>杨利娜</v>
      </c>
      <c r="C31" s="6" t="str">
        <f>"女"</f>
        <v>女</v>
      </c>
      <c r="D31" s="6" t="str">
        <f>"20220513"</f>
        <v>20220513</v>
      </c>
      <c r="E31" s="6" t="s">
        <v>58</v>
      </c>
      <c r="F31" s="6" t="s">
        <v>66</v>
      </c>
      <c r="G31" s="6">
        <v>78</v>
      </c>
      <c r="H31" s="6" t="s">
        <v>60</v>
      </c>
      <c r="I31" s="6">
        <v>2</v>
      </c>
      <c r="J31" s="8">
        <f t="shared" si="3"/>
        <v>65.84</v>
      </c>
      <c r="K31" s="9">
        <v>7</v>
      </c>
      <c r="L31" s="9"/>
    </row>
    <row r="32" ht="20" customHeight="1" spans="1:12">
      <c r="A32" s="6">
        <v>29</v>
      </c>
      <c r="B32" s="6" t="str">
        <f>"高琴"</f>
        <v>高琴</v>
      </c>
      <c r="C32" s="6" t="str">
        <f>"女"</f>
        <v>女</v>
      </c>
      <c r="D32" s="6" t="str">
        <f>"20220521"</f>
        <v>20220521</v>
      </c>
      <c r="E32" s="6" t="s">
        <v>58</v>
      </c>
      <c r="F32" s="6" t="s">
        <v>67</v>
      </c>
      <c r="G32" s="6">
        <v>71.2</v>
      </c>
      <c r="H32" s="6" t="s">
        <v>60</v>
      </c>
      <c r="I32" s="6">
        <v>2</v>
      </c>
      <c r="J32" s="8">
        <f t="shared" si="3"/>
        <v>62.28</v>
      </c>
      <c r="K32" s="9">
        <v>8</v>
      </c>
      <c r="L32" s="9"/>
    </row>
    <row r="33" ht="20" customHeight="1" spans="1:12">
      <c r="A33" s="6">
        <v>30</v>
      </c>
      <c r="B33" s="6" t="str">
        <f>"罗厚利"</f>
        <v>罗厚利</v>
      </c>
      <c r="C33" s="6" t="str">
        <f>"女"</f>
        <v>女</v>
      </c>
      <c r="D33" s="6" t="str">
        <f>"20220509"</f>
        <v>20220509</v>
      </c>
      <c r="E33" s="6" t="s">
        <v>58</v>
      </c>
      <c r="F33" s="6" t="s">
        <v>68</v>
      </c>
      <c r="G33" s="6">
        <v>61.6</v>
      </c>
      <c r="H33" s="6" t="s">
        <v>60</v>
      </c>
      <c r="I33" s="6">
        <v>2</v>
      </c>
      <c r="J33" s="8">
        <f t="shared" si="3"/>
        <v>56.78</v>
      </c>
      <c r="K33" s="9">
        <v>9</v>
      </c>
      <c r="L33" s="9"/>
    </row>
    <row r="34" ht="20" customHeight="1" spans="1:12">
      <c r="A34" s="6">
        <v>31</v>
      </c>
      <c r="B34" s="6" t="str">
        <f>"刘恒"</f>
        <v>刘恒</v>
      </c>
      <c r="C34" s="6" t="str">
        <f>"女"</f>
        <v>女</v>
      </c>
      <c r="D34" s="6" t="str">
        <f>"20220501"</f>
        <v>20220501</v>
      </c>
      <c r="E34" s="6" t="s">
        <v>58</v>
      </c>
      <c r="F34" s="6" t="s">
        <v>69</v>
      </c>
      <c r="G34" s="6">
        <v>62.8</v>
      </c>
      <c r="H34" s="6" t="s">
        <v>60</v>
      </c>
      <c r="I34" s="6">
        <v>2</v>
      </c>
      <c r="J34" s="8">
        <f t="shared" si="3"/>
        <v>55.94</v>
      </c>
      <c r="K34" s="9">
        <v>10</v>
      </c>
      <c r="L34" s="9"/>
    </row>
    <row r="35" ht="20" customHeight="1" spans="1:12">
      <c r="A35" s="6">
        <v>32</v>
      </c>
      <c r="B35" s="6" t="str">
        <f>"杨世海"</f>
        <v>杨世海</v>
      </c>
      <c r="C35" s="6" t="str">
        <f>"男"</f>
        <v>男</v>
      </c>
      <c r="D35" s="6" t="str">
        <f>"20220606"</f>
        <v>20220606</v>
      </c>
      <c r="E35" s="6" t="str">
        <f>"01"</f>
        <v>01</v>
      </c>
      <c r="F35" s="6" t="s">
        <v>70</v>
      </c>
      <c r="G35" s="6">
        <v>80.8</v>
      </c>
      <c r="H35" s="6" t="s">
        <v>71</v>
      </c>
      <c r="I35" s="6">
        <v>2</v>
      </c>
      <c r="J35" s="8">
        <f>F35*0.3+G35*0.7</f>
        <v>75.655</v>
      </c>
      <c r="K35" s="9">
        <v>1</v>
      </c>
      <c r="L35" s="9" t="s">
        <v>17</v>
      </c>
    </row>
    <row r="36" ht="20" customHeight="1" spans="1:12">
      <c r="A36" s="6">
        <v>33</v>
      </c>
      <c r="B36" s="6" t="str">
        <f>"潘吉"</f>
        <v>潘吉</v>
      </c>
      <c r="C36" s="6" t="str">
        <f>"女"</f>
        <v>女</v>
      </c>
      <c r="D36" s="6" t="str">
        <f>"20220602"</f>
        <v>20220602</v>
      </c>
      <c r="E36" s="6" t="str">
        <f>"01"</f>
        <v>01</v>
      </c>
      <c r="F36" s="6">
        <v>60.4</v>
      </c>
      <c r="G36" s="6">
        <v>79</v>
      </c>
      <c r="H36" s="6" t="s">
        <v>71</v>
      </c>
      <c r="I36" s="6">
        <v>2</v>
      </c>
      <c r="J36" s="8">
        <f>F36*0.3+G36*0.7</f>
        <v>73.42</v>
      </c>
      <c r="K36" s="9">
        <v>2</v>
      </c>
      <c r="L36" s="9" t="s">
        <v>17</v>
      </c>
    </row>
    <row r="37" ht="20" customHeight="1" spans="1:12">
      <c r="A37" s="6">
        <v>34</v>
      </c>
      <c r="B37" s="6" t="str">
        <f>"黄姚"</f>
        <v>黄姚</v>
      </c>
      <c r="C37" s="6" t="str">
        <f>"女"</f>
        <v>女</v>
      </c>
      <c r="D37" s="6" t="str">
        <f>"20220622"</f>
        <v>20220622</v>
      </c>
      <c r="E37" s="6" t="str">
        <f>"01"</f>
        <v>01</v>
      </c>
      <c r="F37" s="6" t="s">
        <v>72</v>
      </c>
      <c r="G37" s="6">
        <v>74.8</v>
      </c>
      <c r="H37" s="6" t="s">
        <v>71</v>
      </c>
      <c r="I37" s="6">
        <v>2</v>
      </c>
      <c r="J37" s="8">
        <f>F37*0.3+G37*0.7</f>
        <v>73.195</v>
      </c>
      <c r="K37" s="9">
        <v>3</v>
      </c>
      <c r="L37" s="9"/>
    </row>
    <row r="38" ht="20" customHeight="1" spans="1:12">
      <c r="A38" s="6">
        <v>35</v>
      </c>
      <c r="B38" s="6" t="str">
        <f>"孙琴丽"</f>
        <v>孙琴丽</v>
      </c>
      <c r="C38" s="6" t="str">
        <f>"女"</f>
        <v>女</v>
      </c>
      <c r="D38" s="6" t="str">
        <f>"20220613"</f>
        <v>20220613</v>
      </c>
      <c r="E38" s="6" t="str">
        <f>"01"</f>
        <v>01</v>
      </c>
      <c r="F38" s="6" t="s">
        <v>73</v>
      </c>
      <c r="G38" s="6">
        <v>69.8</v>
      </c>
      <c r="H38" s="6" t="s">
        <v>71</v>
      </c>
      <c r="I38" s="6">
        <v>2</v>
      </c>
      <c r="J38" s="8">
        <f>F38*0.3+G38*0.7</f>
        <v>69.62</v>
      </c>
      <c r="K38" s="9">
        <v>4</v>
      </c>
      <c r="L38" s="9"/>
    </row>
    <row r="39" ht="20" customHeight="1" spans="1:12">
      <c r="A39" s="6">
        <v>36</v>
      </c>
      <c r="B39" s="6" t="str">
        <f>"舒佳"</f>
        <v>舒佳</v>
      </c>
      <c r="C39" s="6" t="str">
        <f>"女"</f>
        <v>女</v>
      </c>
      <c r="D39" s="6" t="str">
        <f>"20220621"</f>
        <v>20220621</v>
      </c>
      <c r="E39" s="6" t="str">
        <f>"01"</f>
        <v>01</v>
      </c>
      <c r="F39" s="6" t="s">
        <v>74</v>
      </c>
      <c r="G39" s="6">
        <v>59</v>
      </c>
      <c r="H39" s="6" t="s">
        <v>71</v>
      </c>
      <c r="I39" s="6">
        <v>2</v>
      </c>
      <c r="J39" s="8">
        <f>F39*0.3+G39*0.7</f>
        <v>59.645</v>
      </c>
      <c r="K39" s="9">
        <v>5</v>
      </c>
      <c r="L39" s="9"/>
    </row>
    <row r="40" ht="20" customHeight="1" spans="1:12">
      <c r="A40" s="6">
        <v>37</v>
      </c>
      <c r="B40" s="6" t="str">
        <f>"高水红"</f>
        <v>高水红</v>
      </c>
      <c r="C40" s="6" t="str">
        <f>"女"</f>
        <v>女</v>
      </c>
      <c r="D40" s="6" t="str">
        <f>"20220510"</f>
        <v>20220510</v>
      </c>
      <c r="E40" s="6" t="s">
        <v>75</v>
      </c>
      <c r="F40" s="6" t="s">
        <v>76</v>
      </c>
      <c r="G40" s="6">
        <v>81</v>
      </c>
      <c r="H40" s="6" t="s">
        <v>77</v>
      </c>
      <c r="I40" s="6">
        <v>2</v>
      </c>
      <c r="J40" s="8">
        <f>F40*0.4+G40*0.6</f>
        <v>79.88</v>
      </c>
      <c r="K40" s="9">
        <v>1</v>
      </c>
      <c r="L40" s="9" t="s">
        <v>17</v>
      </c>
    </row>
    <row r="41" ht="20" customHeight="1" spans="1:12">
      <c r="A41" s="6">
        <v>38</v>
      </c>
      <c r="B41" s="6" t="str">
        <f>"涂俊"</f>
        <v>涂俊</v>
      </c>
      <c r="C41" s="6" t="str">
        <f>"男"</f>
        <v>男</v>
      </c>
      <c r="D41" s="6" t="str">
        <f>"20220520"</f>
        <v>20220520</v>
      </c>
      <c r="E41" s="6" t="s">
        <v>75</v>
      </c>
      <c r="F41" s="6" t="s">
        <v>78</v>
      </c>
      <c r="G41" s="6">
        <v>79.6</v>
      </c>
      <c r="H41" s="6" t="s">
        <v>77</v>
      </c>
      <c r="I41" s="6">
        <v>2</v>
      </c>
      <c r="J41" s="8">
        <f t="shared" ref="J41:J46" si="4">F41*0.4+G41*0.6</f>
        <v>78.22</v>
      </c>
      <c r="K41" s="9">
        <v>2</v>
      </c>
      <c r="L41" s="9" t="s">
        <v>17</v>
      </c>
    </row>
    <row r="42" ht="20" customHeight="1" spans="1:12">
      <c r="A42" s="6">
        <v>39</v>
      </c>
      <c r="B42" s="6" t="str">
        <f>"陈玲"</f>
        <v>陈玲</v>
      </c>
      <c r="C42" s="6" t="str">
        <f t="shared" ref="C42:C47" si="5">"女"</f>
        <v>女</v>
      </c>
      <c r="D42" s="6" t="str">
        <f>"20220505"</f>
        <v>20220505</v>
      </c>
      <c r="E42" s="6" t="s">
        <v>75</v>
      </c>
      <c r="F42" s="6" t="s">
        <v>79</v>
      </c>
      <c r="G42" s="6">
        <v>83.8</v>
      </c>
      <c r="H42" s="6" t="s">
        <v>77</v>
      </c>
      <c r="I42" s="6">
        <v>2</v>
      </c>
      <c r="J42" s="8">
        <f t="shared" si="4"/>
        <v>75.86</v>
      </c>
      <c r="K42" s="9">
        <v>3</v>
      </c>
      <c r="L42" s="9"/>
    </row>
    <row r="43" ht="20" customHeight="1" spans="1:12">
      <c r="A43" s="6">
        <v>40</v>
      </c>
      <c r="B43" s="6" t="str">
        <f>"王瑞"</f>
        <v>王瑞</v>
      </c>
      <c r="C43" s="6" t="str">
        <f t="shared" si="5"/>
        <v>女</v>
      </c>
      <c r="D43" s="6" t="str">
        <f>"20220511"</f>
        <v>20220511</v>
      </c>
      <c r="E43" s="6" t="s">
        <v>75</v>
      </c>
      <c r="F43" s="6" t="s">
        <v>80</v>
      </c>
      <c r="G43" s="6">
        <v>82.8</v>
      </c>
      <c r="H43" s="6" t="s">
        <v>77</v>
      </c>
      <c r="I43" s="6">
        <v>2</v>
      </c>
      <c r="J43" s="8">
        <f t="shared" si="4"/>
        <v>69.44</v>
      </c>
      <c r="K43" s="9">
        <v>4</v>
      </c>
      <c r="L43" s="9"/>
    </row>
    <row r="44" ht="20" customHeight="1" spans="1:12">
      <c r="A44" s="6">
        <v>41</v>
      </c>
      <c r="B44" s="6" t="str">
        <f>"杨燀"</f>
        <v>杨燀</v>
      </c>
      <c r="C44" s="6" t="str">
        <f t="shared" si="5"/>
        <v>女</v>
      </c>
      <c r="D44" s="6" t="str">
        <f>"20220507"</f>
        <v>20220507</v>
      </c>
      <c r="E44" s="6" t="s">
        <v>75</v>
      </c>
      <c r="F44" s="6" t="s">
        <v>81</v>
      </c>
      <c r="G44" s="6">
        <v>71.2</v>
      </c>
      <c r="H44" s="6" t="s">
        <v>77</v>
      </c>
      <c r="I44" s="6">
        <v>2</v>
      </c>
      <c r="J44" s="8">
        <f t="shared" si="4"/>
        <v>64.98</v>
      </c>
      <c r="K44" s="9">
        <v>5</v>
      </c>
      <c r="L44" s="9"/>
    </row>
    <row r="45" ht="20" customHeight="1" spans="1:12">
      <c r="A45" s="6">
        <v>42</v>
      </c>
      <c r="B45" s="6" t="str">
        <f>"杨灏澜"</f>
        <v>杨灏澜</v>
      </c>
      <c r="C45" s="6" t="str">
        <f t="shared" si="5"/>
        <v>女</v>
      </c>
      <c r="D45" s="6" t="str">
        <f>"20220526"</f>
        <v>20220526</v>
      </c>
      <c r="E45" s="6" t="s">
        <v>75</v>
      </c>
      <c r="F45" s="6" t="s">
        <v>82</v>
      </c>
      <c r="G45" s="6">
        <v>76</v>
      </c>
      <c r="H45" s="6" t="s">
        <v>77</v>
      </c>
      <c r="I45" s="6">
        <v>2</v>
      </c>
      <c r="J45" s="8">
        <f t="shared" si="4"/>
        <v>63.9</v>
      </c>
      <c r="K45" s="9">
        <v>6</v>
      </c>
      <c r="L45" s="9"/>
    </row>
    <row r="46" ht="20" customHeight="1" spans="1:12">
      <c r="A46" s="6">
        <v>43</v>
      </c>
      <c r="B46" s="6" t="str">
        <f>"杨丽"</f>
        <v>杨丽</v>
      </c>
      <c r="C46" s="6" t="str">
        <f t="shared" si="5"/>
        <v>女</v>
      </c>
      <c r="D46" s="6" t="str">
        <f>"20220524"</f>
        <v>20220524</v>
      </c>
      <c r="E46" s="6" t="s">
        <v>75</v>
      </c>
      <c r="F46" s="6" t="s">
        <v>83</v>
      </c>
      <c r="G46" s="6">
        <v>57</v>
      </c>
      <c r="H46" s="6" t="s">
        <v>77</v>
      </c>
      <c r="I46" s="6">
        <v>2</v>
      </c>
      <c r="J46" s="8">
        <f t="shared" si="4"/>
        <v>53</v>
      </c>
      <c r="K46" s="9">
        <v>7</v>
      </c>
      <c r="L46" s="9"/>
    </row>
    <row r="47" ht="20" customHeight="1" spans="1:12">
      <c r="A47" s="6">
        <v>44</v>
      </c>
      <c r="B47" s="6" t="str">
        <f>"田羽"</f>
        <v>田羽</v>
      </c>
      <c r="C47" s="6" t="str">
        <f t="shared" si="5"/>
        <v>女</v>
      </c>
      <c r="D47" s="6" t="str">
        <f>"20220525"</f>
        <v>20220525</v>
      </c>
      <c r="E47" s="6" t="s">
        <v>75</v>
      </c>
      <c r="F47" s="6" t="s">
        <v>84</v>
      </c>
      <c r="G47" s="6" t="s">
        <v>40</v>
      </c>
      <c r="H47" s="6" t="s">
        <v>77</v>
      </c>
      <c r="I47" s="6">
        <v>2</v>
      </c>
      <c r="J47" s="8"/>
      <c r="K47" s="9">
        <v>8</v>
      </c>
      <c r="L47" s="9"/>
    </row>
    <row r="48" ht="20" customHeight="1" spans="1:12">
      <c r="A48" s="6">
        <v>45</v>
      </c>
      <c r="B48" s="6" t="str">
        <f>"徐青"</f>
        <v>徐青</v>
      </c>
      <c r="C48" s="6" t="str">
        <f>"男"</f>
        <v>男</v>
      </c>
      <c r="D48" s="6" t="s">
        <v>85</v>
      </c>
      <c r="E48" s="6" t="str">
        <f>"05"</f>
        <v>05</v>
      </c>
      <c r="F48" s="6" t="s">
        <v>86</v>
      </c>
      <c r="G48" s="6">
        <v>87.6</v>
      </c>
      <c r="H48" s="6" t="s">
        <v>87</v>
      </c>
      <c r="I48" s="6">
        <v>1</v>
      </c>
      <c r="J48" s="8">
        <f>F48*0.3+G48*0.7</f>
        <v>82.305</v>
      </c>
      <c r="K48" s="9">
        <v>1</v>
      </c>
      <c r="L48" s="9" t="s">
        <v>17</v>
      </c>
    </row>
    <row r="49" ht="20" customHeight="1" spans="1:12">
      <c r="A49" s="6">
        <v>46</v>
      </c>
      <c r="B49" s="6" t="str">
        <f>"陈倩"</f>
        <v>陈倩</v>
      </c>
      <c r="C49" s="6" t="str">
        <f>"女"</f>
        <v>女</v>
      </c>
      <c r="D49" s="6" t="s">
        <v>88</v>
      </c>
      <c r="E49" s="6" t="str">
        <f>"05"</f>
        <v>05</v>
      </c>
      <c r="F49" s="6" t="s">
        <v>89</v>
      </c>
      <c r="G49" s="6">
        <v>78.2</v>
      </c>
      <c r="H49" s="6" t="s">
        <v>87</v>
      </c>
      <c r="I49" s="6">
        <v>1</v>
      </c>
      <c r="J49" s="8">
        <f>F49*0.3+G49*0.7</f>
        <v>75.71</v>
      </c>
      <c r="K49" s="9">
        <v>2</v>
      </c>
      <c r="L49" s="9"/>
    </row>
    <row r="50" ht="20" customHeight="1" spans="1:12">
      <c r="A50" s="6">
        <v>47</v>
      </c>
      <c r="B50" s="6" t="str">
        <f>"杨丹"</f>
        <v>杨丹</v>
      </c>
      <c r="C50" s="6" t="str">
        <f>"女"</f>
        <v>女</v>
      </c>
      <c r="D50" s="6" t="s">
        <v>90</v>
      </c>
      <c r="E50" s="6" t="str">
        <f>"05"</f>
        <v>05</v>
      </c>
      <c r="F50" s="6" t="s">
        <v>91</v>
      </c>
      <c r="G50" s="6">
        <v>66.8</v>
      </c>
      <c r="H50" s="6" t="s">
        <v>87</v>
      </c>
      <c r="I50" s="6">
        <v>1</v>
      </c>
      <c r="J50" s="8">
        <f>F50*0.3+G50*0.7</f>
        <v>68.21</v>
      </c>
      <c r="K50" s="9">
        <v>3</v>
      </c>
      <c r="L50" s="9"/>
    </row>
    <row r="51" ht="20" customHeight="1" spans="1:12">
      <c r="A51" s="6">
        <v>48</v>
      </c>
      <c r="B51" s="6" t="str">
        <f>"张术"</f>
        <v>张术</v>
      </c>
      <c r="C51" s="6" t="str">
        <f>"男"</f>
        <v>男</v>
      </c>
      <c r="D51" s="6" t="s">
        <v>92</v>
      </c>
      <c r="E51" s="6" t="str">
        <f>"05"</f>
        <v>05</v>
      </c>
      <c r="F51" s="6" t="s">
        <v>93</v>
      </c>
      <c r="G51" s="6">
        <v>60.6</v>
      </c>
      <c r="H51" s="6" t="s">
        <v>87</v>
      </c>
      <c r="I51" s="6">
        <v>1</v>
      </c>
      <c r="J51" s="8">
        <f>F51*0.3+G51*0.7</f>
        <v>63.825</v>
      </c>
      <c r="K51" s="9">
        <v>4</v>
      </c>
      <c r="L51" s="9"/>
    </row>
    <row r="52" ht="20" customHeight="1" spans="1:12">
      <c r="A52" s="6">
        <v>49</v>
      </c>
      <c r="B52" s="6" t="str">
        <f>"田丽"</f>
        <v>田丽</v>
      </c>
      <c r="C52" s="6" t="str">
        <f>"女"</f>
        <v>女</v>
      </c>
      <c r="D52" s="6" t="s">
        <v>94</v>
      </c>
      <c r="E52" s="6" t="str">
        <f>"05"</f>
        <v>05</v>
      </c>
      <c r="F52" s="6" t="s">
        <v>95</v>
      </c>
      <c r="G52" s="6" t="s">
        <v>40</v>
      </c>
      <c r="H52" s="6" t="s">
        <v>87</v>
      </c>
      <c r="I52" s="6">
        <v>1</v>
      </c>
      <c r="J52" s="8"/>
      <c r="K52" s="9">
        <v>5</v>
      </c>
      <c r="L52" s="9"/>
    </row>
    <row r="53" ht="20" customHeight="1" spans="1:12">
      <c r="A53" s="6">
        <v>50</v>
      </c>
      <c r="B53" s="6" t="str">
        <f>"汪思泽"</f>
        <v>汪思泽</v>
      </c>
      <c r="C53" s="6" t="str">
        <f>"男"</f>
        <v>男</v>
      </c>
      <c r="D53" s="6" t="s">
        <v>96</v>
      </c>
      <c r="E53" s="6" t="str">
        <f>"06"</f>
        <v>06</v>
      </c>
      <c r="F53" s="6" t="s">
        <v>97</v>
      </c>
      <c r="G53" s="6">
        <v>73.6</v>
      </c>
      <c r="H53" s="6" t="s">
        <v>98</v>
      </c>
      <c r="I53" s="6">
        <v>1</v>
      </c>
      <c r="J53" s="8">
        <f>F53*0.3+G53*0.7</f>
        <v>70.36</v>
      </c>
      <c r="K53" s="9">
        <v>1</v>
      </c>
      <c r="L53" s="9" t="s">
        <v>17</v>
      </c>
    </row>
    <row r="54" ht="20" customHeight="1" spans="1:12">
      <c r="A54" s="6">
        <v>51</v>
      </c>
      <c r="B54" s="6" t="str">
        <f>"姚泓"</f>
        <v>姚泓</v>
      </c>
      <c r="C54" s="6" t="str">
        <f>"男"</f>
        <v>男</v>
      </c>
      <c r="D54" s="6" t="s">
        <v>99</v>
      </c>
      <c r="E54" s="6" t="str">
        <f>"06"</f>
        <v>06</v>
      </c>
      <c r="F54" s="6" t="s">
        <v>100</v>
      </c>
      <c r="G54" s="6" t="s">
        <v>40</v>
      </c>
      <c r="H54" s="6" t="s">
        <v>98</v>
      </c>
      <c r="I54" s="6">
        <v>1</v>
      </c>
      <c r="J54" s="8"/>
      <c r="K54" s="9">
        <v>2</v>
      </c>
      <c r="L54" s="9"/>
    </row>
  </sheetData>
  <autoFilter ref="A3:K54">
    <extLst/>
  </autoFilter>
  <mergeCells count="1">
    <mergeCell ref="A2:L2"/>
  </mergeCells>
  <pageMargins left="0.393055555555556" right="0.236111111111111" top="1.25972222222222" bottom="0.0388888888888889" header="0.5" footer="0.5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2022-11-10T03:37:00Z</dcterms:created>
  <dcterms:modified xsi:type="dcterms:W3CDTF">2022-12-05T03:47:39Z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2696C1A6457441F2AD3EDF101C85DFD9</vt:lpwstr>
  </property>
  <property fmtid="{D5CDD505-2E9C-101B-9397-08002B2CF9AE}" pid="3" name="KSOProductBuildVer">
    <vt:lpwstr>2052-11.1.0.12763</vt:lpwstr>
  </property>
</Properties>
</file>